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.ekp-okt\XLS-cikkek\"/>
    </mc:Choice>
  </mc:AlternateContent>
  <bookViews>
    <workbookView xWindow="0" yWindow="0" windowWidth="21750" windowHeight="1098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S28" i="1"/>
  <c r="S27" i="1"/>
  <c r="S26" i="1"/>
  <c r="S25" i="1"/>
  <c r="S24" i="1"/>
  <c r="S23" i="1"/>
  <c r="S22" i="1"/>
  <c r="I28" i="1"/>
  <c r="I27" i="1"/>
  <c r="I26" i="1"/>
  <c r="E20" i="1"/>
  <c r="Q20" i="1" s="1"/>
  <c r="R20" i="1" s="1"/>
  <c r="E21" i="1"/>
  <c r="Q21" i="1" s="1"/>
  <c r="R21" i="1" s="1"/>
  <c r="E22" i="1"/>
  <c r="E23" i="1"/>
  <c r="Q23" i="1" s="1"/>
  <c r="R23" i="1" s="1"/>
  <c r="E24" i="1"/>
  <c r="Q24" i="1" s="1"/>
  <c r="R24" i="1" s="1"/>
  <c r="E25" i="1"/>
  <c r="Q25" i="1" s="1"/>
  <c r="R25" i="1" s="1"/>
  <c r="E26" i="1"/>
  <c r="Q26" i="1" s="1"/>
  <c r="R26" i="1" s="1"/>
  <c r="E27" i="1"/>
  <c r="Q27" i="1" s="1"/>
  <c r="E28" i="1"/>
  <c r="Q28" i="1" s="1"/>
  <c r="E19" i="1"/>
  <c r="Q19" i="1" s="1"/>
  <c r="R19" i="1" s="1"/>
  <c r="S19" i="1" s="1"/>
  <c r="R28" i="1"/>
  <c r="R27" i="1"/>
  <c r="Q22" i="1"/>
  <c r="R22" i="1" s="1"/>
  <c r="K19" i="1"/>
  <c r="K20" i="1"/>
  <c r="K21" i="1"/>
  <c r="K22" i="1"/>
  <c r="K23" i="1"/>
  <c r="K24" i="1"/>
  <c r="K25" i="1"/>
  <c r="K26" i="1"/>
  <c r="K27" i="1"/>
  <c r="K28" i="1"/>
  <c r="S20" i="1" l="1"/>
  <c r="S21" i="1"/>
  <c r="O19" i="1"/>
  <c r="P19" i="1" s="1"/>
  <c r="T19" i="1"/>
  <c r="T20" i="1" s="1"/>
  <c r="O20" i="1" l="1"/>
  <c r="O21" i="1" s="1"/>
  <c r="O22" i="1" s="1"/>
  <c r="O23" i="1" s="1"/>
  <c r="O24" i="1" s="1"/>
  <c r="O25" i="1" s="1"/>
  <c r="O26" i="1" s="1"/>
  <c r="O27" i="1" s="1"/>
  <c r="O28" i="1" s="1"/>
  <c r="T21" i="1"/>
  <c r="P20" i="1" l="1"/>
  <c r="T22" i="1"/>
  <c r="P21" i="1" l="1"/>
  <c r="T23" i="1"/>
  <c r="T24" i="1" s="1"/>
  <c r="T25" i="1" s="1"/>
  <c r="T26" i="1" s="1"/>
  <c r="T27" i="1" s="1"/>
  <c r="T28" i="1" s="1"/>
  <c r="P22" i="1"/>
  <c r="H20" i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H19" i="1"/>
  <c r="J19" i="1" s="1"/>
  <c r="M19" i="1"/>
  <c r="N19" i="1" l="1"/>
  <c r="M20" i="1"/>
  <c r="M21" i="1" s="1"/>
  <c r="M22" i="1" s="1"/>
  <c r="M23" i="1" s="1"/>
  <c r="M24" i="1" s="1"/>
  <c r="M25" i="1" s="1"/>
  <c r="M26" i="1" s="1"/>
  <c r="M27" i="1" s="1"/>
  <c r="M28" i="1" s="1"/>
  <c r="P23" i="1"/>
  <c r="J20" i="1"/>
  <c r="I19" i="1"/>
  <c r="I20" i="1" s="1"/>
  <c r="I21" i="1" s="1"/>
  <c r="I22" i="1" s="1"/>
  <c r="I23" i="1" s="1"/>
  <c r="I24" i="1" s="1"/>
  <c r="I25" i="1" s="1"/>
  <c r="J21" i="1" l="1"/>
  <c r="J22" i="1" s="1"/>
  <c r="J23" i="1" s="1"/>
  <c r="J24" i="1" s="1"/>
  <c r="J25" i="1" s="1"/>
  <c r="J26" i="1" s="1"/>
  <c r="J27" i="1" s="1"/>
  <c r="J28" i="1" s="1"/>
  <c r="P24" i="1"/>
  <c r="N20" i="1"/>
  <c r="P25" i="1" l="1"/>
  <c r="N21" i="1"/>
  <c r="B6" i="1"/>
  <c r="L28" i="1" s="1"/>
  <c r="P26" i="1" l="1"/>
  <c r="N22" i="1"/>
  <c r="P28" i="1" l="1"/>
  <c r="P27" i="1"/>
  <c r="N23" i="1"/>
  <c r="N24" i="1" l="1"/>
  <c r="N25" i="1" l="1"/>
  <c r="N26" i="1" l="1"/>
  <c r="N28" i="1" l="1"/>
  <c r="N27" i="1"/>
</calcChain>
</file>

<file path=xl/sharedStrings.xml><?xml version="1.0" encoding="utf-8"?>
<sst xmlns="http://schemas.openxmlformats.org/spreadsheetml/2006/main" count="36" uniqueCount="30">
  <si>
    <t>Infláció</t>
  </si>
  <si>
    <t>Újrabefektetem</t>
  </si>
  <si>
    <t>Magyar Állampapír kamata</t>
  </si>
  <si>
    <t>Magyar Állampapír árfolyam</t>
  </si>
  <si>
    <t>Névérték</t>
  </si>
  <si>
    <t>2023. december</t>
  </si>
  <si>
    <t>2024. december</t>
  </si>
  <si>
    <t>2025. december</t>
  </si>
  <si>
    <t>2026. december</t>
  </si>
  <si>
    <t>2027. december</t>
  </si>
  <si>
    <t>2028. december</t>
  </si>
  <si>
    <t>2029. december</t>
  </si>
  <si>
    <t>2030. december</t>
  </si>
  <si>
    <t>2031. december</t>
  </si>
  <si>
    <t>2032. december</t>
  </si>
  <si>
    <t>DKJ hozam</t>
  </si>
  <si>
    <t>Inflációkövető kamat</t>
  </si>
  <si>
    <t>Inflációkövető kamatprémium</t>
  </si>
  <si>
    <t>Kamatkövető kamatprémium</t>
  </si>
  <si>
    <t>Lejáratig hátralevő idő</t>
  </si>
  <si>
    <t>Inflációkövető Lejáratig hátralevő idő</t>
  </si>
  <si>
    <t>Halmozott kamat</t>
  </si>
  <si>
    <t>Árfolyamnyereség</t>
  </si>
  <si>
    <t>Összes eredmény</t>
  </si>
  <si>
    <t>Kamatkövető kamat</t>
  </si>
  <si>
    <t>Infláció éves kifizetés</t>
  </si>
  <si>
    <t>Fix Állampapír éves kifizetés</t>
  </si>
  <si>
    <t>Kifizetés dátuma</t>
  </si>
  <si>
    <t>Kamat kamatkövető éves kifizetés</t>
  </si>
  <si>
    <t>Befektetett 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</si>
</sst>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0.0%"/>
    <numFmt numFmtId="170" formatCode="_-* #,##0\ [$Ft-40E]_-;\-* #,##0\ [$Ft-40E]_-;_-* &quot;-&quot;??\ [$Ft-40E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10" fontId="0" fillId="3" borderId="0" xfId="0" applyNumberFormat="1" applyFill="1"/>
    <xf numFmtId="165" fontId="0" fillId="0" borderId="0" xfId="0" applyNumberFormat="1"/>
    <xf numFmtId="0" fontId="0" fillId="4" borderId="0" xfId="0" applyFill="1"/>
    <xf numFmtId="0" fontId="0" fillId="0" borderId="0" xfId="0" applyFill="1"/>
    <xf numFmtId="164" fontId="0" fillId="0" borderId="0" xfId="0" applyNumberFormat="1" applyFill="1"/>
    <xf numFmtId="0" fontId="0" fillId="5" borderId="0" xfId="0" applyFill="1"/>
    <xf numFmtId="164" fontId="0" fillId="5" borderId="0" xfId="0" applyNumberFormat="1" applyFill="1"/>
    <xf numFmtId="164" fontId="0" fillId="5" borderId="0" xfId="1" applyNumberFormat="1" applyFont="1" applyFill="1"/>
    <xf numFmtId="10" fontId="0" fillId="4" borderId="0" xfId="0" applyNumberFormat="1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164" fontId="0" fillId="4" borderId="0" xfId="0" applyNumberFormat="1" applyFill="1"/>
    <xf numFmtId="170" fontId="0" fillId="4" borderId="0" xfId="0" applyNumberFormat="1" applyFill="1"/>
    <xf numFmtId="0" fontId="0" fillId="2" borderId="0" xfId="0" applyFill="1" applyAlignment="1">
      <alignment horizontal="center"/>
    </xf>
    <xf numFmtId="11" fontId="2" fillId="0" borderId="0" xfId="0" applyNumberFormat="1" applyFont="1" applyAlignment="1">
      <alignment wrapText="1"/>
    </xf>
    <xf numFmtId="11" fontId="2" fillId="4" borderId="0" xfId="0" applyNumberFormat="1" applyFont="1" applyFill="1" applyAlignment="1">
      <alignment horizontal="center" wrapText="1"/>
    </xf>
    <xf numFmtId="11" fontId="2" fillId="3" borderId="0" xfId="0" applyNumberFormat="1" applyFont="1" applyFill="1" applyAlignment="1">
      <alignment horizontal="center" wrapText="1"/>
    </xf>
    <xf numFmtId="11" fontId="2" fillId="5" borderId="0" xfId="0" applyNumberFormat="1" applyFont="1" applyFill="1" applyAlignment="1">
      <alignment horizontal="center" wrapText="1"/>
    </xf>
    <xf numFmtId="11" fontId="2" fillId="2" borderId="0" xfId="0" applyNumberFormat="1" applyFont="1" applyFill="1" applyAlignment="1">
      <alignment horizontal="center" wrapText="1"/>
    </xf>
    <xf numFmtId="10" fontId="2" fillId="5" borderId="0" xfId="0" applyNumberFormat="1" applyFont="1" applyFill="1"/>
    <xf numFmtId="10" fontId="2" fillId="3" borderId="0" xfId="0" applyNumberFormat="1" applyFont="1" applyFill="1"/>
    <xf numFmtId="0" fontId="2" fillId="3" borderId="0" xfId="0" applyFont="1" applyFill="1"/>
    <xf numFmtId="10" fontId="2" fillId="4" borderId="0" xfId="2" applyNumberFormat="1" applyFont="1" applyFill="1"/>
    <xf numFmtId="0" fontId="2" fillId="4" borderId="0" xfId="0" applyFont="1" applyFill="1"/>
    <xf numFmtId="165" fontId="2" fillId="3" borderId="0" xfId="2" applyNumberFormat="1" applyFont="1" applyFill="1"/>
    <xf numFmtId="165" fontId="2" fillId="4" borderId="0" xfId="2" applyNumberFormat="1" applyFont="1" applyFill="1"/>
    <xf numFmtId="0" fontId="2" fillId="5" borderId="0" xfId="0" applyFont="1" applyFill="1"/>
    <xf numFmtId="164" fontId="2" fillId="2" borderId="0" xfId="1" applyNumberFormat="1" applyFont="1" applyFill="1"/>
    <xf numFmtId="11" fontId="2" fillId="2" borderId="0" xfId="0" applyNumberFormat="1" applyFont="1" applyFill="1" applyAlignment="1">
      <alignment wrapText="1"/>
    </xf>
    <xf numFmtId="165" fontId="2" fillId="3" borderId="0" xfId="0" applyNumberFormat="1" applyFont="1" applyFill="1"/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133350</xdr:rowOff>
    </xdr:from>
    <xdr:to>
      <xdr:col>1</xdr:col>
      <xdr:colOff>892386</xdr:colOff>
      <xdr:row>28</xdr:row>
      <xdr:rowOff>19050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81350"/>
          <a:ext cx="3206961" cy="23622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30</xdr:row>
      <xdr:rowOff>180975</xdr:rowOff>
    </xdr:from>
    <xdr:to>
      <xdr:col>8</xdr:col>
      <xdr:colOff>88621</xdr:colOff>
      <xdr:row>49</xdr:row>
      <xdr:rowOff>123825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4" y="6086475"/>
          <a:ext cx="9385022" cy="35623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53</xdr:row>
      <xdr:rowOff>0</xdr:rowOff>
    </xdr:from>
    <xdr:to>
      <xdr:col>8</xdr:col>
      <xdr:colOff>523876</xdr:colOff>
      <xdr:row>73</xdr:row>
      <xdr:rowOff>156666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0287000"/>
          <a:ext cx="9963150" cy="396666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14</xdr:col>
      <xdr:colOff>389796</xdr:colOff>
      <xdr:row>52</xdr:row>
      <xdr:rowOff>85214</xdr:rowOff>
    </xdr:to>
    <xdr:pic>
      <xdr:nvPicPr>
        <xdr:cNvPr id="8" name="Kép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00" y="6096000"/>
          <a:ext cx="5828571" cy="40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30</xdr:row>
      <xdr:rowOff>85725</xdr:rowOff>
    </xdr:from>
    <xdr:to>
      <xdr:col>29</xdr:col>
      <xdr:colOff>160272</xdr:colOff>
      <xdr:row>50</xdr:row>
      <xdr:rowOff>63296</xdr:rowOff>
    </xdr:to>
    <xdr:pic>
      <xdr:nvPicPr>
        <xdr:cNvPr id="9" name="Kép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583025" y="5991225"/>
          <a:ext cx="11209272" cy="3787571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53</xdr:row>
      <xdr:rowOff>85725</xdr:rowOff>
    </xdr:from>
    <xdr:to>
      <xdr:col>17</xdr:col>
      <xdr:colOff>951344</xdr:colOff>
      <xdr:row>76</xdr:row>
      <xdr:rowOff>8987</xdr:rowOff>
    </xdr:to>
    <xdr:pic>
      <xdr:nvPicPr>
        <xdr:cNvPr id="10" name="Kép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96550" y="10372725"/>
          <a:ext cx="9247619" cy="4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tabSelected="1" workbookViewId="0">
      <selection activeCell="J21" sqref="J21"/>
    </sheetView>
  </sheetViews>
  <sheetFormatPr defaultRowHeight="15" x14ac:dyDescent="0.25"/>
  <cols>
    <col min="1" max="1" width="34.7109375" bestFit="1" customWidth="1"/>
    <col min="2" max="2" width="17.28515625" bestFit="1" customWidth="1"/>
    <col min="4" max="4" width="16.140625" bestFit="1" customWidth="1"/>
    <col min="5" max="5" width="10.42578125" bestFit="1" customWidth="1"/>
    <col min="6" max="6" width="19.85546875" bestFit="1" customWidth="1"/>
    <col min="7" max="7" width="18.85546875" customWidth="1"/>
    <col min="8" max="8" width="15.140625" bestFit="1" customWidth="1"/>
    <col min="9" max="9" width="15.5703125" bestFit="1" customWidth="1"/>
    <col min="10" max="11" width="15.5703125" customWidth="1"/>
    <col min="12" max="12" width="17.5703125" bestFit="1" customWidth="1"/>
    <col min="13" max="13" width="16.140625" bestFit="1" customWidth="1"/>
    <col min="14" max="14" width="16.7109375" bestFit="1" customWidth="1"/>
    <col min="15" max="15" width="15.42578125" bestFit="1" customWidth="1"/>
    <col min="16" max="16" width="11" bestFit="1" customWidth="1"/>
    <col min="17" max="17" width="16.7109375" bestFit="1" customWidth="1"/>
    <col min="18" max="18" width="18.85546875" bestFit="1" customWidth="1"/>
    <col min="19" max="19" width="16.140625" bestFit="1" customWidth="1"/>
    <col min="20" max="20" width="15.28515625" bestFit="1" customWidth="1"/>
  </cols>
  <sheetData>
    <row r="2" spans="1:6" x14ac:dyDescent="0.25">
      <c r="A2" s="4" t="s">
        <v>29</v>
      </c>
      <c r="B2" s="33">
        <v>1000000</v>
      </c>
    </row>
    <row r="4" spans="1:6" x14ac:dyDescent="0.25">
      <c r="A4" s="11" t="s">
        <v>2</v>
      </c>
      <c r="B4" s="25">
        <v>4.4999999999999998E-2</v>
      </c>
    </row>
    <row r="5" spans="1:6" x14ac:dyDescent="0.25">
      <c r="A5" s="11" t="s">
        <v>3</v>
      </c>
      <c r="B5" s="25">
        <v>0.7</v>
      </c>
    </row>
    <row r="6" spans="1:6" x14ac:dyDescent="0.25">
      <c r="A6" s="11" t="s">
        <v>4</v>
      </c>
      <c r="B6" s="12">
        <f>B2/B5</f>
        <v>1428571.4285714286</v>
      </c>
    </row>
    <row r="7" spans="1:6" x14ac:dyDescent="0.25">
      <c r="A7" s="11" t="s">
        <v>19</v>
      </c>
      <c r="B7" s="32">
        <v>6</v>
      </c>
      <c r="E7" s="3"/>
      <c r="F7" s="3"/>
    </row>
    <row r="9" spans="1:6" x14ac:dyDescent="0.25">
      <c r="A9" s="15" t="s">
        <v>17</v>
      </c>
      <c r="B9" s="26">
        <v>1.4999999999999999E-2</v>
      </c>
    </row>
    <row r="10" spans="1:6" x14ac:dyDescent="0.25">
      <c r="A10" s="5" t="s">
        <v>20</v>
      </c>
      <c r="B10" s="27">
        <v>6</v>
      </c>
    </row>
    <row r="11" spans="1:6" x14ac:dyDescent="0.25">
      <c r="A11" s="8" t="s">
        <v>18</v>
      </c>
      <c r="B11" s="28">
        <v>0.01</v>
      </c>
    </row>
    <row r="12" spans="1:6" x14ac:dyDescent="0.25">
      <c r="A12" s="8" t="s">
        <v>19</v>
      </c>
      <c r="B12" s="29">
        <v>3</v>
      </c>
    </row>
    <row r="13" spans="1:6" x14ac:dyDescent="0.25">
      <c r="B13" s="7"/>
    </row>
    <row r="17" spans="3:21" ht="30" x14ac:dyDescent="0.25">
      <c r="C17" s="34"/>
      <c r="D17" s="22" t="s">
        <v>0</v>
      </c>
      <c r="E17" s="21" t="s">
        <v>15</v>
      </c>
      <c r="F17" s="22" t="s">
        <v>16</v>
      </c>
      <c r="G17" s="24" t="s">
        <v>27</v>
      </c>
      <c r="H17" s="22" t="s">
        <v>25</v>
      </c>
      <c r="I17" s="22" t="s">
        <v>21</v>
      </c>
      <c r="J17" s="22" t="s">
        <v>1</v>
      </c>
      <c r="K17" s="23" t="s">
        <v>26</v>
      </c>
      <c r="L17" s="23" t="s">
        <v>22</v>
      </c>
      <c r="M17" s="23" t="s">
        <v>21</v>
      </c>
      <c r="N17" s="23" t="s">
        <v>23</v>
      </c>
      <c r="O17" s="23" t="s">
        <v>1</v>
      </c>
      <c r="P17" s="23" t="s">
        <v>23</v>
      </c>
      <c r="Q17" s="21" t="s">
        <v>24</v>
      </c>
      <c r="R17" s="21" t="s">
        <v>28</v>
      </c>
      <c r="S17" s="21" t="s">
        <v>21</v>
      </c>
      <c r="T17" s="21" t="s">
        <v>1</v>
      </c>
      <c r="U17" s="20"/>
    </row>
    <row r="18" spans="3:21" x14ac:dyDescent="0.25">
      <c r="C18" s="4">
        <v>2022</v>
      </c>
      <c r="D18" s="35">
        <v>0.15</v>
      </c>
      <c r="E18" s="8"/>
      <c r="F18" s="5"/>
      <c r="G18" s="4"/>
      <c r="H18" s="5"/>
      <c r="I18" s="5"/>
      <c r="J18" s="5"/>
      <c r="K18" s="11"/>
      <c r="L18" s="11"/>
      <c r="M18" s="11"/>
      <c r="N18" s="11"/>
      <c r="O18" s="11"/>
      <c r="P18" s="11"/>
      <c r="Q18" s="8"/>
      <c r="R18" s="8"/>
      <c r="S18" s="8"/>
      <c r="T18" s="8"/>
    </row>
    <row r="19" spans="3:21" x14ac:dyDescent="0.25">
      <c r="C19" s="4">
        <v>2023</v>
      </c>
      <c r="D19" s="30">
        <v>0.15</v>
      </c>
      <c r="E19" s="31">
        <f>D19-1%</f>
        <v>0.13999999999999999</v>
      </c>
      <c r="F19" s="6">
        <f>D18+$B$9</f>
        <v>0.16499999999999998</v>
      </c>
      <c r="G19" s="19" t="s">
        <v>5</v>
      </c>
      <c r="H19" s="16">
        <f>IF($B$10&lt;1,0,($B$2*F19))</f>
        <v>164999.99999999997</v>
      </c>
      <c r="I19" s="16">
        <f>H19</f>
        <v>164999.99999999997</v>
      </c>
      <c r="J19" s="16">
        <f>H19*(1+E20)</f>
        <v>179849.99999999997</v>
      </c>
      <c r="K19" s="12">
        <f>IF($B$7&lt;1,0,($B$2/$B$5)*$B$4)</f>
        <v>64285.71428571429</v>
      </c>
      <c r="L19" s="12"/>
      <c r="M19" s="12">
        <f>K19</f>
        <v>64285.71428571429</v>
      </c>
      <c r="N19" s="12">
        <f>L19+M19</f>
        <v>64285.71428571429</v>
      </c>
      <c r="O19" s="12">
        <f>K19*(1+E20)</f>
        <v>70071.42857142858</v>
      </c>
      <c r="P19" s="13">
        <f>L19+O19</f>
        <v>70071.42857142858</v>
      </c>
      <c r="Q19" s="14">
        <f>E19+$B$11</f>
        <v>0.15</v>
      </c>
      <c r="R19" s="17">
        <f>IF($B$12&lt;1,0,$B$2*Q19)</f>
        <v>150000</v>
      </c>
      <c r="S19" s="17">
        <f>R19</f>
        <v>150000</v>
      </c>
      <c r="T19" s="18">
        <f>R19*(1+E20)</f>
        <v>163500</v>
      </c>
    </row>
    <row r="20" spans="3:21" x14ac:dyDescent="0.25">
      <c r="C20" s="4">
        <v>2024</v>
      </c>
      <c r="D20" s="30">
        <v>0.1</v>
      </c>
      <c r="E20" s="31">
        <f>D20-1%</f>
        <v>9.0000000000000011E-2</v>
      </c>
      <c r="F20" s="6">
        <f>D19+$B$9</f>
        <v>0.16499999999999998</v>
      </c>
      <c r="G20" s="19" t="s">
        <v>6</v>
      </c>
      <c r="H20" s="16">
        <f>IF($B$10&lt;2,0,($B$2*F20))</f>
        <v>164999.99999999997</v>
      </c>
      <c r="I20" s="16">
        <f>IF($B$10&lt;2,0,I19+H20)</f>
        <v>329999.99999999994</v>
      </c>
      <c r="J20" s="16">
        <f>(H20+J19)*(1+E21)</f>
        <v>375886.49999999994</v>
      </c>
      <c r="K20" s="12">
        <f>IF($B$7&lt;2,0,($B$2/$B$5)*$B$4)</f>
        <v>64285.71428571429</v>
      </c>
      <c r="L20" s="12"/>
      <c r="M20" s="12">
        <f>IF($B$7&lt;2,0,( M19+K20))</f>
        <v>128571.42857142858</v>
      </c>
      <c r="N20" s="12">
        <f t="shared" ref="N20:N28" si="0">L20+M20</f>
        <v>128571.42857142858</v>
      </c>
      <c r="O20" s="12">
        <f>IF($B$7&lt;2,0,(K20+O19)*(1+E21))</f>
        <v>146449.28571428574</v>
      </c>
      <c r="P20" s="13">
        <f t="shared" ref="P20:P25" si="1">L20+O20</f>
        <v>146449.28571428574</v>
      </c>
      <c r="Q20" s="14">
        <f>E20+$B$11</f>
        <v>0.1</v>
      </c>
      <c r="R20" s="17">
        <f>IF($B$12&lt;2,0,$B$2*Q20)</f>
        <v>100000</v>
      </c>
      <c r="S20" s="17">
        <f>IF($B$12&lt;2,0,R20+S19)</f>
        <v>250000</v>
      </c>
      <c r="T20" s="18">
        <f>(T19+R20)*(1+E21)</f>
        <v>287215</v>
      </c>
    </row>
    <row r="21" spans="3:21" x14ac:dyDescent="0.25">
      <c r="C21" s="4">
        <v>2025</v>
      </c>
      <c r="D21" s="30">
        <v>0.1</v>
      </c>
      <c r="E21" s="31">
        <f>D21-1%</f>
        <v>9.0000000000000011E-2</v>
      </c>
      <c r="F21" s="6">
        <f>D20+$B$9</f>
        <v>0.115</v>
      </c>
      <c r="G21" s="19" t="s">
        <v>7</v>
      </c>
      <c r="H21" s="16">
        <f>IF($B$10&lt;3,0,($B$2*F21))</f>
        <v>115000</v>
      </c>
      <c r="I21" s="16">
        <f>IF($B$10&lt;3,0,I20+H21)</f>
        <v>444999.99999999994</v>
      </c>
      <c r="J21" s="16">
        <f>(H21+J20)*(1+E22)</f>
        <v>505613.09499999997</v>
      </c>
      <c r="K21" s="12">
        <f>IF($B$7&lt;3,0,($B$2/$B$5)*$B$4)</f>
        <v>64285.71428571429</v>
      </c>
      <c r="L21" s="12"/>
      <c r="M21" s="12">
        <f>IF($B$7&lt;3,0,( M20+K21))</f>
        <v>192857.14285714287</v>
      </c>
      <c r="N21" s="12">
        <f t="shared" si="0"/>
        <v>192857.14285714287</v>
      </c>
      <c r="O21" s="12">
        <f>IF($B$7&lt;3,0,(K21+O20)*(1+E22))</f>
        <v>217057.05000000005</v>
      </c>
      <c r="P21" s="13">
        <f t="shared" si="1"/>
        <v>217057.05000000005</v>
      </c>
      <c r="Q21" s="14">
        <f>E21+$B$11</f>
        <v>0.1</v>
      </c>
      <c r="R21" s="17">
        <f>IF($B$12&lt;3,0,$B$2*Q21)</f>
        <v>100000</v>
      </c>
      <c r="S21" s="17">
        <f>IF($B$12&lt;3,0,R21+S20)</f>
        <v>350000</v>
      </c>
      <c r="T21" s="18">
        <f>(T20+R21)*(1+E22)</f>
        <v>398831.45</v>
      </c>
    </row>
    <row r="22" spans="3:21" x14ac:dyDescent="0.25">
      <c r="C22" s="4">
        <v>2026</v>
      </c>
      <c r="D22" s="30">
        <v>0.04</v>
      </c>
      <c r="E22" s="31">
        <f>D22-1%</f>
        <v>0.03</v>
      </c>
      <c r="F22" s="6">
        <f>D21+$B$9</f>
        <v>0.115</v>
      </c>
      <c r="G22" s="19" t="s">
        <v>8</v>
      </c>
      <c r="H22" s="16">
        <f>IF($B$10&lt;4,0,($B$2*F22))</f>
        <v>115000</v>
      </c>
      <c r="I22" s="16">
        <f>IF($B$10&lt;4,0,I21+H22)</f>
        <v>560000</v>
      </c>
      <c r="J22" s="16">
        <f>(H22+J21)*(1+E23)</f>
        <v>639231.48785000003</v>
      </c>
      <c r="K22" s="12">
        <f>IF($B$7&lt;4,0,($B$2/$B$5)*$B$4)</f>
        <v>64285.71428571429</v>
      </c>
      <c r="L22" s="12"/>
      <c r="M22" s="12">
        <f>IF($B$7&lt;4,0,( M21+K22))</f>
        <v>257142.85714285716</v>
      </c>
      <c r="N22" s="12">
        <f t="shared" si="0"/>
        <v>257142.85714285716</v>
      </c>
      <c r="O22" s="12">
        <f>IF($B$7&lt;4,0,(K22+O21)*(1+E23))</f>
        <v>289783.04721428582</v>
      </c>
      <c r="P22" s="13">
        <f t="shared" si="1"/>
        <v>289783.04721428582</v>
      </c>
      <c r="Q22" s="14">
        <f>E22+$B$11</f>
        <v>0.04</v>
      </c>
      <c r="R22" s="17">
        <f>IF($B$12&lt;4,0,$B$2*Q22)</f>
        <v>0</v>
      </c>
      <c r="S22" s="17">
        <f>IF($B$12&lt;4,0,R22+S21)</f>
        <v>0</v>
      </c>
      <c r="T22" s="18">
        <f>(T21+R22)*(1+E23)</f>
        <v>410796.39350000001</v>
      </c>
    </row>
    <row r="23" spans="3:21" x14ac:dyDescent="0.25">
      <c r="C23" s="4">
        <v>2027</v>
      </c>
      <c r="D23" s="30">
        <v>0.04</v>
      </c>
      <c r="E23" s="31">
        <f>D23-1%</f>
        <v>0.03</v>
      </c>
      <c r="F23" s="6">
        <f>D22+$B$9</f>
        <v>5.5E-2</v>
      </c>
      <c r="G23" s="19" t="s">
        <v>9</v>
      </c>
      <c r="H23" s="16">
        <f>IF($B$10&lt;5,0,($B$2*F23))</f>
        <v>55000</v>
      </c>
      <c r="I23" s="16">
        <f>IF($B$10&lt;5,0,I22+H23)</f>
        <v>615000</v>
      </c>
      <c r="J23" s="16">
        <f>(H23+J22)*(1+E24)</f>
        <v>715058.4324855</v>
      </c>
      <c r="K23" s="12">
        <f>IF($B$7&lt;5,0,($B$2/$B$5)*$B$4)</f>
        <v>64285.71428571429</v>
      </c>
      <c r="L23" s="12"/>
      <c r="M23" s="12">
        <f>IF($B$7&lt;5,0,( M22+K23))</f>
        <v>321428.57142857148</v>
      </c>
      <c r="N23" s="12">
        <f t="shared" si="0"/>
        <v>321428.57142857148</v>
      </c>
      <c r="O23" s="12">
        <f>IF($B$7&lt;5,0,(K23+O22)*(1+E24))</f>
        <v>364690.82434500015</v>
      </c>
      <c r="P23" s="13">
        <f t="shared" si="1"/>
        <v>364690.82434500015</v>
      </c>
      <c r="Q23" s="14">
        <f>E23+$B$11</f>
        <v>0.04</v>
      </c>
      <c r="R23" s="17">
        <f>IF($B$12&lt;5,0,$B$2*Q23)</f>
        <v>0</v>
      </c>
      <c r="S23" s="17">
        <f>IF($B$12&lt;5,0,R23+S22)</f>
        <v>0</v>
      </c>
      <c r="T23" s="18">
        <f>(T22+R23)*(1+E24)</f>
        <v>423120.28530500003</v>
      </c>
    </row>
    <row r="24" spans="3:21" x14ac:dyDescent="0.25">
      <c r="C24" s="4">
        <v>2028</v>
      </c>
      <c r="D24" s="30">
        <v>0.04</v>
      </c>
      <c r="E24" s="31">
        <f>D24-1%</f>
        <v>0.03</v>
      </c>
      <c r="F24" s="6">
        <f>D23+$B$9</f>
        <v>5.5E-2</v>
      </c>
      <c r="G24" s="19" t="s">
        <v>10</v>
      </c>
      <c r="H24" s="16">
        <f>IF($B$10&lt;6,0,($B$2*F24))</f>
        <v>55000</v>
      </c>
      <c r="I24" s="16">
        <f>IF($B$10&lt;6,0,I23+H24)</f>
        <v>670000</v>
      </c>
      <c r="J24" s="16">
        <f>(H24+J23)*(1+E25)</f>
        <v>793160.18546006503</v>
      </c>
      <c r="K24" s="12">
        <f>IF($B$7&lt;6,0,($B$2/$B$5)*$B$4)</f>
        <v>64285.71428571429</v>
      </c>
      <c r="L24" s="12"/>
      <c r="M24" s="12">
        <f>IF($B$7&lt;6,0,( M23+K24))</f>
        <v>385714.2857142858</v>
      </c>
      <c r="N24" s="12">
        <f t="shared" si="0"/>
        <v>385714.2857142858</v>
      </c>
      <c r="O24" s="12">
        <f>IF($B$7&lt;6,0,(K24+O23)*(1+E25))</f>
        <v>441845.83478963585</v>
      </c>
      <c r="P24" s="13">
        <f t="shared" si="1"/>
        <v>441845.83478963585</v>
      </c>
      <c r="Q24" s="14">
        <f>E24+$B$11</f>
        <v>0.04</v>
      </c>
      <c r="R24" s="17">
        <f>IF($B$12&lt;6,0,$B$2*Q24)</f>
        <v>0</v>
      </c>
      <c r="S24" s="17">
        <f>IF($B$12&lt;6,0,R24+S23)</f>
        <v>0</v>
      </c>
      <c r="T24" s="18">
        <f>(T23+R24)*(1+E25)</f>
        <v>435813.89386415004</v>
      </c>
    </row>
    <row r="25" spans="3:21" x14ac:dyDescent="0.25">
      <c r="C25" s="4">
        <v>2029</v>
      </c>
      <c r="D25" s="30">
        <v>0.04</v>
      </c>
      <c r="E25" s="31">
        <f>D25-1%</f>
        <v>0.03</v>
      </c>
      <c r="F25" s="6">
        <f>D24+$B$9</f>
        <v>5.5E-2</v>
      </c>
      <c r="G25" s="19" t="s">
        <v>11</v>
      </c>
      <c r="H25" s="16">
        <f>IF($B$10&lt;7,0,($B$2*F25))</f>
        <v>0</v>
      </c>
      <c r="I25" s="16">
        <f>IF($B$10&lt;7,0,I24+H25)</f>
        <v>0</v>
      </c>
      <c r="J25" s="16">
        <f>(H25+J24)*(1+E26)</f>
        <v>816954.99102386704</v>
      </c>
      <c r="K25" s="12">
        <f>IF($B$7&lt;7,0,($B$2/$B$5)*$B$4)</f>
        <v>0</v>
      </c>
      <c r="L25" s="12"/>
      <c r="M25" s="12">
        <f>IF($B$7&lt;7,0,( M24+K25))</f>
        <v>0</v>
      </c>
      <c r="N25" s="12">
        <f t="shared" si="0"/>
        <v>0</v>
      </c>
      <c r="O25" s="12">
        <f>IF($B$7&lt;7,0,(K25+O24)*(1+E26))</f>
        <v>0</v>
      </c>
      <c r="P25" s="13">
        <f t="shared" si="1"/>
        <v>0</v>
      </c>
      <c r="Q25" s="14">
        <f>E25+$B$11</f>
        <v>0.04</v>
      </c>
      <c r="R25" s="17">
        <f>IF($B$12&lt;7,0,$B$2*Q25)</f>
        <v>0</v>
      </c>
      <c r="S25" s="17">
        <f>IF($B$12&lt;7,0,R25+S24)</f>
        <v>0</v>
      </c>
      <c r="T25" s="18">
        <f>(T24+R25)*(1+E26)</f>
        <v>448888.31068007456</v>
      </c>
    </row>
    <row r="26" spans="3:21" x14ac:dyDescent="0.25">
      <c r="C26" s="4">
        <v>2030</v>
      </c>
      <c r="D26" s="30">
        <v>0.04</v>
      </c>
      <c r="E26" s="31">
        <f>D26-1%</f>
        <v>0.03</v>
      </c>
      <c r="F26" s="6">
        <f>D25+$B$9</f>
        <v>5.5E-2</v>
      </c>
      <c r="G26" s="19" t="s">
        <v>12</v>
      </c>
      <c r="H26" s="16">
        <f>IF($B$10&lt;8,0,($B$2*F26))</f>
        <v>0</v>
      </c>
      <c r="I26" s="16">
        <f>IF($B$10&lt;8,0,I25+H26)</f>
        <v>0</v>
      </c>
      <c r="J26" s="16">
        <f>(H26+J25)*(1+E27)</f>
        <v>841463.64075458306</v>
      </c>
      <c r="K26" s="12">
        <f>IF($B$7&lt;8,0,($B$2/$B$5)*$B$4)</f>
        <v>0</v>
      </c>
      <c r="L26" s="12"/>
      <c r="M26" s="12">
        <f>IF($B$7&lt;8,0,( M25+K26))</f>
        <v>0</v>
      </c>
      <c r="N26" s="12">
        <f t="shared" si="0"/>
        <v>0</v>
      </c>
      <c r="O26" s="12">
        <f>IF($B$7&lt;8,0,(K26+O25)*(1+E27))</f>
        <v>0</v>
      </c>
      <c r="P26" s="13">
        <f>L26+O26</f>
        <v>0</v>
      </c>
      <c r="Q26" s="14">
        <f>E26+$B$11</f>
        <v>0.04</v>
      </c>
      <c r="R26" s="17">
        <f>IF($B$12&lt;8,0,$B$2*Q26)</f>
        <v>0</v>
      </c>
      <c r="S26" s="17">
        <f>IF($B$12&lt;8,0,R26+S25)</f>
        <v>0</v>
      </c>
      <c r="T26" s="18">
        <f>(T25+R26)*(1+E27)</f>
        <v>462354.9600004768</v>
      </c>
    </row>
    <row r="27" spans="3:21" x14ac:dyDescent="0.25">
      <c r="C27" s="4">
        <v>2031</v>
      </c>
      <c r="D27" s="30">
        <v>0.04</v>
      </c>
      <c r="E27" s="31">
        <f>D27-1%</f>
        <v>0.03</v>
      </c>
      <c r="F27" s="6">
        <f>D26+$B$9</f>
        <v>5.5E-2</v>
      </c>
      <c r="G27" s="19" t="s">
        <v>13</v>
      </c>
      <c r="H27" s="16">
        <f>IF($B$10&lt;9,0,($B$2*F27))</f>
        <v>0</v>
      </c>
      <c r="I27" s="16">
        <f>IF($B$10&lt;9,0,I26+H27)</f>
        <v>0</v>
      </c>
      <c r="J27" s="16">
        <f>(H27+J26)*(1+E28)</f>
        <v>866707.54997722059</v>
      </c>
      <c r="K27" s="12">
        <f>IF($B$7&lt;9,0,($B$2/$B$5)*$B$4)</f>
        <v>0</v>
      </c>
      <c r="L27" s="12"/>
      <c r="M27" s="12">
        <f>IF($B$7&lt;9,0,( M26+K27))</f>
        <v>0</v>
      </c>
      <c r="N27" s="12">
        <f t="shared" si="0"/>
        <v>0</v>
      </c>
      <c r="O27" s="12">
        <f>IF($B$7&lt;9,0,(K27+O26)*(1+E28))</f>
        <v>0</v>
      </c>
      <c r="P27" s="13">
        <f>L27+O27</f>
        <v>0</v>
      </c>
      <c r="Q27" s="14">
        <f>E27+$B$11</f>
        <v>0.04</v>
      </c>
      <c r="R27" s="17">
        <f>IF($B$12&lt;9,0,$B$2*Q27)</f>
        <v>0</v>
      </c>
      <c r="S27" s="17">
        <f>IF($B$12&lt;9,0,R27+S26)</f>
        <v>0</v>
      </c>
      <c r="T27" s="18">
        <f>(T26+R27)*(1+E28)</f>
        <v>476225.60880049114</v>
      </c>
    </row>
    <row r="28" spans="3:21" x14ac:dyDescent="0.25">
      <c r="C28" s="4">
        <v>2032</v>
      </c>
      <c r="D28" s="30">
        <v>0.04</v>
      </c>
      <c r="E28" s="31">
        <f>D28-1%</f>
        <v>0.03</v>
      </c>
      <c r="F28" s="6">
        <f>D27+$B$9</f>
        <v>5.5E-2</v>
      </c>
      <c r="G28" s="19" t="s">
        <v>14</v>
      </c>
      <c r="H28" s="16">
        <f>IF($B$10&lt;10,0,($B$2*F28))</f>
        <v>0</v>
      </c>
      <c r="I28" s="16">
        <f>IF($B$10&lt;10,0,I27+H28)</f>
        <v>0</v>
      </c>
      <c r="J28" s="16">
        <f>(H28+J27)*(1+E29)</f>
        <v>892708.77647653723</v>
      </c>
      <c r="K28" s="12">
        <f>IF($B$7&lt;10,0,($B$2/$B$5)*$B$4)</f>
        <v>0</v>
      </c>
      <c r="L28" s="12">
        <f>B6-B2</f>
        <v>428571.42857142864</v>
      </c>
      <c r="M28" s="12">
        <f>IF($B$7&lt;10,0,( M27+K28))</f>
        <v>0</v>
      </c>
      <c r="N28" s="12">
        <f t="shared" si="0"/>
        <v>428571.42857142864</v>
      </c>
      <c r="O28" s="12">
        <f>IF($B$7&lt;10,0,(K28+O27)*(1+E29))</f>
        <v>0</v>
      </c>
      <c r="P28" s="13">
        <f>L28+O28</f>
        <v>428571.42857142864</v>
      </c>
      <c r="Q28" s="14">
        <f>E28+$B$11</f>
        <v>0.04</v>
      </c>
      <c r="R28" s="17">
        <f>IF($B$12&lt;10,0,$B$2*Q28)</f>
        <v>0</v>
      </c>
      <c r="S28" s="17">
        <f>IF($B$12&lt;10,0,R28+S27)</f>
        <v>0</v>
      </c>
      <c r="T28" s="18">
        <f>(T27+R28)*(1+E29)</f>
        <v>490512.37706450588</v>
      </c>
    </row>
    <row r="29" spans="3:21" x14ac:dyDescent="0.25">
      <c r="C29" s="4">
        <v>2032</v>
      </c>
      <c r="E29" s="31">
        <v>0.03</v>
      </c>
      <c r="I29" s="9"/>
      <c r="J29" s="9"/>
      <c r="K29" s="10"/>
      <c r="L29" s="9"/>
      <c r="M29" s="9"/>
      <c r="N29" s="9"/>
      <c r="O29" s="9"/>
      <c r="P29" s="10"/>
      <c r="Q29" s="9"/>
    </row>
    <row r="30" spans="3:21" x14ac:dyDescent="0.25">
      <c r="I30" s="9"/>
      <c r="J30" s="9"/>
      <c r="K30" s="9"/>
      <c r="L30" s="10"/>
      <c r="M30" s="10"/>
      <c r="N30" s="10"/>
      <c r="O30" s="10"/>
      <c r="P30" s="9"/>
      <c r="Q30" s="9"/>
    </row>
    <row r="31" spans="3:21" x14ac:dyDescent="0.25">
      <c r="L31" s="2"/>
      <c r="M31" s="2"/>
      <c r="N31" s="2"/>
      <c r="O31" s="2"/>
    </row>
    <row r="32" spans="3:21" x14ac:dyDescent="0.25">
      <c r="L32" s="2"/>
      <c r="M32" s="2"/>
      <c r="N32" s="2"/>
      <c r="O32" s="2"/>
    </row>
    <row r="33" spans="5:7" x14ac:dyDescent="0.25">
      <c r="E33" s="1"/>
      <c r="F33" s="1"/>
      <c r="G33" s="1"/>
    </row>
    <row r="34" spans="5:7" x14ac:dyDescent="0.25">
      <c r="E34" s="1"/>
      <c r="F34" s="1"/>
      <c r="G34" s="1"/>
    </row>
    <row r="35" spans="5:7" x14ac:dyDescent="0.25">
      <c r="E35" s="1"/>
      <c r="F35" s="1"/>
      <c r="G35" s="1"/>
    </row>
    <row r="36" spans="5:7" x14ac:dyDescent="0.25">
      <c r="E36" s="1"/>
      <c r="F36" s="1"/>
      <c r="G36" s="1"/>
    </row>
    <row r="37" spans="5:7" x14ac:dyDescent="0.25">
      <c r="E37" s="1"/>
      <c r="F37" s="1"/>
      <c r="G37" s="1"/>
    </row>
    <row r="38" spans="5:7" x14ac:dyDescent="0.25">
      <c r="E38" s="1"/>
      <c r="F38" s="1"/>
      <c r="G38" s="1"/>
    </row>
    <row r="39" spans="5:7" x14ac:dyDescent="0.25">
      <c r="E39" s="1"/>
      <c r="F39" s="1"/>
      <c r="G39" s="1"/>
    </row>
    <row r="40" spans="5:7" x14ac:dyDescent="0.25">
      <c r="E40" s="1"/>
      <c r="F40" s="1"/>
      <c r="G40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Attila</dc:creator>
  <cp:lastModifiedBy>Nagy Attila</cp:lastModifiedBy>
  <dcterms:created xsi:type="dcterms:W3CDTF">2022-08-09T12:24:50Z</dcterms:created>
  <dcterms:modified xsi:type="dcterms:W3CDTF">2023-01-12T08:43:04Z</dcterms:modified>
</cp:coreProperties>
</file>